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AGmac/Dropbox/Mein Mac (MacBook-Pro-I.AGmac58)/Downloads/"/>
    </mc:Choice>
  </mc:AlternateContent>
  <xr:revisionPtr revIDLastSave="0" documentId="13_ncr:1_{9BA620FD-5818-F84F-9BFD-B24343064CBE}" xr6:coauthVersionLast="36" xr6:coauthVersionMax="36" xr10:uidLastSave="{00000000-0000-0000-0000-000000000000}"/>
  <bookViews>
    <workbookView xWindow="11360" yWindow="1520" windowWidth="17880" windowHeight="20440" tabRatio="500" activeTab="3" xr2:uid="{00000000-000D-0000-FFFF-FFFF00000000}"/>
  </bookViews>
  <sheets>
    <sheet name="Dosage Calculator" sheetId="1" r:id="rId1"/>
    <sheet name="Weight-Based Table" sheetId="2" r:id="rId2"/>
    <sheet name="MIC Reference" sheetId="3" r:id="rId3"/>
    <sheet name="Session Monitor" sheetId="4" r:id="rId4"/>
  </sheets>
  <calcPr calcId="18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6" i="4" l="1"/>
  <c r="A5" i="4"/>
  <c r="A4" i="4"/>
  <c r="C10" i="2"/>
  <c r="E10" i="2" s="1"/>
  <c r="F10" i="2" s="1"/>
  <c r="G10" i="2" s="1"/>
  <c r="B10" i="2"/>
  <c r="C9" i="2"/>
  <c r="E9" i="2" s="1"/>
  <c r="F9" i="2" s="1"/>
  <c r="G9" i="2" s="1"/>
  <c r="B9" i="2"/>
  <c r="C8" i="2"/>
  <c r="E8" i="2" s="1"/>
  <c r="F8" i="2" s="1"/>
  <c r="G8" i="2" s="1"/>
  <c r="B8" i="2"/>
  <c r="C7" i="2"/>
  <c r="D7" i="2" s="1"/>
  <c r="B7" i="2"/>
  <c r="C6" i="2"/>
  <c r="E6" i="2" s="1"/>
  <c r="F6" i="2" s="1"/>
  <c r="G6" i="2" s="1"/>
  <c r="B6" i="2"/>
  <c r="E5" i="2"/>
  <c r="F5" i="2" s="1"/>
  <c r="G5" i="2" s="1"/>
  <c r="D5" i="2"/>
  <c r="C5" i="2"/>
  <c r="B5" i="2"/>
  <c r="C4" i="2"/>
  <c r="D4" i="2" s="1"/>
  <c r="B4" i="2"/>
  <c r="F32" i="1"/>
  <c r="F29" i="1"/>
  <c r="F25" i="1"/>
  <c r="B24" i="1"/>
  <c r="F22" i="1"/>
  <c r="F34" i="1" s="1"/>
  <c r="F18" i="1"/>
  <c r="F15" i="1"/>
  <c r="F13" i="1"/>
  <c r="F14" i="1" s="1"/>
  <c r="F16" i="1" s="1"/>
  <c r="B36" i="1" s="1"/>
  <c r="B38" i="1" s="1"/>
  <c r="B39" i="1" s="1"/>
  <c r="B40" i="1" l="1"/>
  <c r="B41" i="1" s="1"/>
  <c r="B45" i="1"/>
  <c r="E7" i="2"/>
  <c r="F7" i="2" s="1"/>
  <c r="G7" i="2" s="1"/>
  <c r="E4" i="2"/>
  <c r="F4" i="2" s="1"/>
  <c r="G4" i="2" s="1"/>
  <c r="D6" i="2"/>
  <c r="D8" i="2"/>
  <c r="D9" i="2"/>
  <c r="D10" i="2"/>
  <c r="B49" i="1" l="1"/>
  <c r="B47" i="1"/>
  <c r="B46" i="1"/>
  <c r="F41" i="1" s="1"/>
  <c r="F42" i="1" s="1"/>
  <c r="F39" i="1"/>
  <c r="F40" i="1" s="1"/>
  <c r="B48" i="1"/>
</calcChain>
</file>

<file path=xl/sharedStrings.xml><?xml version="1.0" encoding="utf-8"?>
<sst xmlns="http://schemas.openxmlformats.org/spreadsheetml/2006/main" count="145" uniqueCount="139">
  <si>
    <t>ESSENTIAL OIL DOSAGE CALCULATOR FOR NEURO-BORRELIOSIS</t>
  </si>
  <si>
    <t>PATIENT PARAMETERS</t>
  </si>
  <si>
    <t>MIC VALUES &amp; ENVIRONMENTAL FACTORS</t>
  </si>
  <si>
    <t>Body Weight (kg)</t>
  </si>
  <si>
    <t>Cinnamaldehyde MIC (μg/mL)</t>
  </si>
  <si>
    <t>Age (years)</t>
  </si>
  <si>
    <t>Therapeutic Factor (x MIC)</t>
  </si>
  <si>
    <t>Gender</t>
  </si>
  <si>
    <t>Male</t>
  </si>
  <si>
    <t>Room Size (m³)</t>
  </si>
  <si>
    <t>Room Temperature (°C)</t>
  </si>
  <si>
    <t>Position Optimization</t>
  </si>
  <si>
    <t>Optimized (45-60°)</t>
  </si>
  <si>
    <t>Humidity (%)</t>
  </si>
  <si>
    <t>EQUIPMENT PARAMETERS</t>
  </si>
  <si>
    <t>PHYSIOLOGICAL CALCULATIONS</t>
  </si>
  <si>
    <t>Diffuser Type</t>
  </si>
  <si>
    <t>Organic Aromas</t>
  </si>
  <si>
    <t>Blood Volume (L)</t>
  </si>
  <si>
    <t>Setting</t>
  </si>
  <si>
    <t>LOW</t>
  </si>
  <si>
    <t>ZNS Volume (L)</t>
  </si>
  <si>
    <t>Output Rate (mL/min)</t>
  </si>
  <si>
    <t>Target CNS Conc. (μg/mL)</t>
  </si>
  <si>
    <t>Air Exchange Rate (/hour)</t>
  </si>
  <si>
    <t>Required CNS Amount (mg)</t>
  </si>
  <si>
    <t>OIL COMPOSITION (%)</t>
  </si>
  <si>
    <t>Environmental Efficiency (%)</t>
  </si>
  <si>
    <t>Cinnamon Bark Oil (%)</t>
  </si>
  <si>
    <t>DEPOSITION &amp; ABSORPTION FACTORS</t>
  </si>
  <si>
    <t>Oregano Oil (%)</t>
  </si>
  <si>
    <t>Clove Oil (%)</t>
  </si>
  <si>
    <t>Olfactory Deposition (%)</t>
  </si>
  <si>
    <t>Rosemary Oil (%)</t>
  </si>
  <si>
    <t>Trans-mucosal Absorption (%)</t>
  </si>
  <si>
    <t>Total Composition Check</t>
  </si>
  <si>
    <t>(Should = 100%)</t>
  </si>
  <si>
    <t>CNS Penetration Factor (%)</t>
  </si>
  <si>
    <t>Room Dilution Factor (%)</t>
  </si>
  <si>
    <t>ACTIVE INGREDIENT CONCENTRATIONS (%)</t>
  </si>
  <si>
    <t>LOSS FACTORS (%)</t>
  </si>
  <si>
    <t>Cinnamaldehyde in Cinnamon (%)</t>
  </si>
  <si>
    <t>Carvacrol in Oregano (%)</t>
  </si>
  <si>
    <t>Evaporation Losses (%)</t>
  </si>
  <si>
    <t>Eugenol in Clove (%)</t>
  </si>
  <si>
    <t>Deposition Losses (%)</t>
  </si>
  <si>
    <t>1,8-Cineole in Rosemary (%)</t>
  </si>
  <si>
    <t>Breathing Losses (%)</t>
  </si>
  <si>
    <t>Air Exchange Losses (%)</t>
  </si>
  <si>
    <t>MAIN DOSAGE CALCULATIONS</t>
  </si>
  <si>
    <t>TOTAL EFFICIENCY (%)</t>
  </si>
  <si>
    <t>Required Cinnamaldehyde (mg)</t>
  </si>
  <si>
    <t>(with 3x safety factor)</t>
  </si>
  <si>
    <t>Cinnamaldehyde Density (g/mL)</t>
  </si>
  <si>
    <t>TREATMENT ESTIMATES</t>
  </si>
  <si>
    <t>Required Cinnamon Oil (mL)</t>
  </si>
  <si>
    <t>Total Mix Volume (mL)</t>
  </si>
  <si>
    <t>Weekly Mix Consumption (mL)</t>
  </si>
  <si>
    <t>Session Duration (min)</t>
  </si>
  <si>
    <t>8-Week Treatment Total (mL)</t>
  </si>
  <si>
    <t>Practical Session Time (min)</t>
  </si>
  <si>
    <t>Estimated Weekly Cost (€)</t>
  </si>
  <si>
    <t>Total 8-Week Cost (€)</t>
  </si>
  <si>
    <t>DAILY REQUIREMENTS (2 sessions)</t>
  </si>
  <si>
    <t>Total Daily Mix (mL)</t>
  </si>
  <si>
    <t>Cinnamon Oil Daily (mL)</t>
  </si>
  <si>
    <t>Oregano Oil Daily (mL)</t>
  </si>
  <si>
    <t>Clove Oil Daily (mL)</t>
  </si>
  <si>
    <t>Rosemary Oil Daily (mL)</t>
  </si>
  <si>
    <t>WEIGHT-BASED DOSAGE TABLE (Quick Reference)</t>
  </si>
  <si>
    <t>Weight (kg)</t>
  </si>
  <si>
    <t>Blood Vol (L)</t>
  </si>
  <si>
    <t>Mix/Session (mL)</t>
  </si>
  <si>
    <t>Session Time (min)</t>
  </si>
  <si>
    <t>Daily Mix (mL)</t>
  </si>
  <si>
    <t>Weekly Mix (mL)</t>
  </si>
  <si>
    <t>Weekly Cost (€)</t>
  </si>
  <si>
    <t>Notes</t>
  </si>
  <si>
    <t>Pediatric Min</t>
  </si>
  <si>
    <t>Small Adult</t>
  </si>
  <si>
    <t>Average Female</t>
  </si>
  <si>
    <t>Average Male</t>
  </si>
  <si>
    <t>Large Adult</t>
  </si>
  <si>
    <t>Very Large</t>
  </si>
  <si>
    <t>Maximum</t>
  </si>
  <si>
    <t>MINIMUM INHIBITORY CONCENTRATION (MIC) REFERENCE DATA</t>
  </si>
  <si>
    <t>Active Compound</t>
  </si>
  <si>
    <t>Source Oil</t>
  </si>
  <si>
    <t>MIC (μg/mL)</t>
  </si>
  <si>
    <t>Study Reference</t>
  </si>
  <si>
    <t>Activity Profile</t>
  </si>
  <si>
    <t>Cinnamaldehyde</t>
  </si>
  <si>
    <t>Cinnamon Bark</t>
  </si>
  <si>
    <t>Feng et al. 2018</t>
  </si>
  <si>
    <t>Complete eradication</t>
  </si>
  <si>
    <t>Gold standard, lowest MIC</t>
  </si>
  <si>
    <t>Carvacrol</t>
  </si>
  <si>
    <t>Oregano</t>
  </si>
  <si>
    <t>Feng et al. 2017</t>
  </si>
  <si>
    <t>Anti-persister activity</t>
  </si>
  <si>
    <t>Excellent biofilm disruption</t>
  </si>
  <si>
    <t>Eugenol</t>
  </si>
  <si>
    <t>Clove</t>
  </si>
  <si>
    <t>100-200</t>
  </si>
  <si>
    <t>Literature est.</t>
  </si>
  <si>
    <t>Multi-morphological</t>
  </si>
  <si>
    <t>Broad spectrum activity</t>
  </si>
  <si>
    <t>1,8-Cineole</t>
  </si>
  <si>
    <t>Rosemary/Eucalyptus</t>
  </si>
  <si>
    <t>Support data</t>
  </si>
  <si>
    <t>Penetration enhancer</t>
  </si>
  <si>
    <t>Facilitates transport</t>
  </si>
  <si>
    <t>Thymol</t>
  </si>
  <si>
    <t>Thyme</t>
  </si>
  <si>
    <t>Alt. studies</t>
  </si>
  <si>
    <t>Strong antimicrobial</t>
  </si>
  <si>
    <t>Alternative to carvacrol</t>
  </si>
  <si>
    <t>Doxycycline</t>
  </si>
  <si>
    <t>Standard antibiotic</t>
  </si>
  <si>
    <t>Clinical ref.</t>
  </si>
  <si>
    <t>Standard treatment</t>
  </si>
  <si>
    <t>Comparison baseline</t>
  </si>
  <si>
    <t>TREATMENT SESSION MONITORING LOG</t>
  </si>
  <si>
    <t>Date</t>
  </si>
  <si>
    <t>Session #</t>
  </si>
  <si>
    <t>Duration (min)</t>
  </si>
  <si>
    <t>Oil Used (mL)</t>
  </si>
  <si>
    <t>Position OK?</t>
  </si>
  <si>
    <t>Metallic Taste?</t>
  </si>
  <si>
    <t>CNS Feel (1-10)</t>
  </si>
  <si>
    <t>Side Effects</t>
  </si>
  <si>
    <t>Yes</t>
  </si>
  <si>
    <t>None</t>
  </si>
  <si>
    <t>First session - good tolerance</t>
  </si>
  <si>
    <t>Mild headache</t>
  </si>
  <si>
    <t>Expected response</t>
  </si>
  <si>
    <t>Partial</t>
  </si>
  <si>
    <t>Faint</t>
  </si>
  <si>
    <t>Position adjustment needed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</si>
</sst>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"/>
  </numFmts>
  <fonts count="6" x14ac:knownFonts="1">
    <font>
      <sz val="11"/>
      <color theme="1"/>
      <name val="Calibri"/>
      <family val="2"/>
      <charset val="1"/>
    </font>
    <font>
      <b/>
      <sz val="14"/>
      <color rgb="FFFFFFFF"/>
      <name val="Arial"/>
      <family val="2"/>
    </font>
    <font>
      <b/>
      <sz val="12"/>
      <color rgb="FFFFFFFF"/>
      <name val="Arial"/>
      <family val="2"/>
    </font>
    <font>
      <b/>
      <sz val="11"/>
      <color rgb="FF0000FF"/>
      <name val="Arial"/>
      <family val="2"/>
    </font>
    <font>
      <sz val="11"/>
      <color rgb="FF000000"/>
      <name val="Arial"/>
      <family val="2"/>
    </font>
    <font>
      <b/>
      <sz val="11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E75B6"/>
        <bgColor rgb="FF4472C4"/>
      </patternFill>
    </fill>
    <fill>
      <patternFill patternType="solid">
        <fgColor rgb="FF4472C4"/>
        <bgColor rgb="FF2E75B6"/>
      </patternFill>
    </fill>
    <fill>
      <patternFill patternType="solid">
        <fgColor rgb="FFE7F3FF"/>
        <bgColor rgb="FFFFFFFF"/>
      </patternFill>
    </fill>
    <fill>
      <patternFill patternType="solid">
        <fgColor rgb="FFFFF2CC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Border="1" applyAlignment="1">
      <alignment horizontal="center"/>
    </xf>
    <xf numFmtId="0" fontId="2" fillId="3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3" fillId="4" borderId="0" xfId="0" applyFont="1" applyFill="1"/>
    <xf numFmtId="0" fontId="0" fillId="0" borderId="0" xfId="0" applyFont="1"/>
    <xf numFmtId="0" fontId="4" fillId="0" borderId="0" xfId="0" applyFont="1"/>
    <xf numFmtId="0" fontId="2" fillId="3" borderId="0" xfId="0" applyFont="1" applyFill="1"/>
    <xf numFmtId="0" fontId="5" fillId="5" borderId="0" xfId="0" applyFont="1" applyFill="1"/>
    <xf numFmtId="0" fontId="5" fillId="0" borderId="0" xfId="0" applyFont="1"/>
    <xf numFmtId="0" fontId="2" fillId="3" borderId="0" xfId="0" applyFont="1" applyFill="1" applyAlignment="1">
      <alignment horizontal="center"/>
    </xf>
    <xf numFmtId="0" fontId="3" fillId="0" borderId="0" xfId="0" applyFont="1"/>
    <xf numFmtId="164" fontId="4" fillId="4" borderId="0" xfId="0" applyNumberFormat="1" applyFont="1" applyFill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E7F3FF"/>
      <rgbColor rgb="FF660066"/>
      <rgbColor rgb="FFFF8080"/>
      <rgbColor rgb="FF2E75B6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zoomScaleNormal="100" workbookViewId="0">
      <selection activeCell="C48" sqref="C48"/>
    </sheetView>
  </sheetViews>
  <sheetFormatPr baseColWidth="10" defaultColWidth="8.6640625" defaultRowHeight="15" x14ac:dyDescent="0.2"/>
  <cols>
    <col min="1" max="1" width="27" bestFit="1" customWidth="1"/>
    <col min="2" max="2" width="17.33203125" bestFit="1" customWidth="1"/>
    <col min="3" max="3" width="17.5" bestFit="1" customWidth="1"/>
    <col min="4" max="4" width="12" customWidth="1"/>
    <col min="5" max="5" width="24.5" bestFit="1" customWidth="1"/>
    <col min="6" max="6" width="12.1640625" bestFit="1" customWidth="1"/>
    <col min="7" max="7" width="12" customWidth="1"/>
    <col min="8" max="8" width="20" customWidth="1"/>
    <col min="9" max="9" width="30" customWidth="1"/>
  </cols>
  <sheetData>
    <row r="1" spans="1:8" ht="18" x14ac:dyDescent="0.2">
      <c r="A1" s="3" t="s">
        <v>0</v>
      </c>
      <c r="B1" s="3"/>
      <c r="C1" s="3"/>
      <c r="D1" s="3"/>
      <c r="E1" s="3"/>
      <c r="F1" s="3"/>
      <c r="G1" s="3"/>
      <c r="H1" s="3"/>
    </row>
    <row r="3" spans="1:8" ht="16" x14ac:dyDescent="0.2">
      <c r="A3" s="2" t="s">
        <v>1</v>
      </c>
      <c r="B3" s="2"/>
      <c r="C3" s="2"/>
      <c r="E3" s="2" t="s">
        <v>2</v>
      </c>
      <c r="F3" s="2"/>
      <c r="G3" s="2"/>
    </row>
    <row r="5" spans="1:8" x14ac:dyDescent="0.2">
      <c r="A5" t="s">
        <v>3</v>
      </c>
      <c r="B5" s="4">
        <v>70</v>
      </c>
      <c r="E5" s="5" t="s">
        <v>4</v>
      </c>
      <c r="F5" s="4">
        <v>0.2</v>
      </c>
    </row>
    <row r="6" spans="1:8" x14ac:dyDescent="0.2">
      <c r="A6" t="s">
        <v>5</v>
      </c>
      <c r="B6" s="4">
        <v>45</v>
      </c>
      <c r="E6" s="5" t="s">
        <v>6</v>
      </c>
      <c r="F6" s="4">
        <v>5</v>
      </c>
    </row>
    <row r="7" spans="1:8" x14ac:dyDescent="0.2">
      <c r="A7" t="s">
        <v>7</v>
      </c>
      <c r="B7" s="4" t="s">
        <v>8</v>
      </c>
    </row>
    <row r="8" spans="1:8" x14ac:dyDescent="0.2">
      <c r="A8" t="s">
        <v>9</v>
      </c>
      <c r="B8" s="4">
        <v>25</v>
      </c>
      <c r="E8" s="5" t="s">
        <v>10</v>
      </c>
      <c r="F8" s="4">
        <v>22</v>
      </c>
    </row>
    <row r="9" spans="1:8" x14ac:dyDescent="0.2">
      <c r="A9" t="s">
        <v>11</v>
      </c>
      <c r="B9" s="4" t="s">
        <v>12</v>
      </c>
      <c r="E9" s="5" t="s">
        <v>13</v>
      </c>
      <c r="F9" s="4">
        <v>55</v>
      </c>
    </row>
    <row r="11" spans="1:8" ht="16" x14ac:dyDescent="0.2">
      <c r="A11" s="2" t="s">
        <v>14</v>
      </c>
      <c r="B11" s="2"/>
      <c r="C11" s="2"/>
      <c r="E11" s="2" t="s">
        <v>15</v>
      </c>
      <c r="F11" s="2"/>
      <c r="G11" s="2"/>
    </row>
    <row r="13" spans="1:8" x14ac:dyDescent="0.2">
      <c r="A13" t="s">
        <v>16</v>
      </c>
      <c r="B13" s="4" t="s">
        <v>17</v>
      </c>
      <c r="E13" s="5" t="s">
        <v>18</v>
      </c>
      <c r="F13" s="6">
        <f>IF(B7="Male", 0.06*B5+0.03, 0.055*B5+0.03)</f>
        <v>4.2300000000000004</v>
      </c>
    </row>
    <row r="14" spans="1:8" x14ac:dyDescent="0.2">
      <c r="A14" t="s">
        <v>19</v>
      </c>
      <c r="B14" s="4" t="s">
        <v>20</v>
      </c>
      <c r="E14" s="5" t="s">
        <v>21</v>
      </c>
      <c r="F14" s="6">
        <f>F13*0.15</f>
        <v>0.63450000000000006</v>
      </c>
    </row>
    <row r="15" spans="1:8" x14ac:dyDescent="0.2">
      <c r="A15" t="s">
        <v>22</v>
      </c>
      <c r="B15" s="4">
        <v>0.2</v>
      </c>
      <c r="E15" s="5" t="s">
        <v>23</v>
      </c>
      <c r="F15" s="6">
        <f>F5*F6</f>
        <v>1</v>
      </c>
    </row>
    <row r="16" spans="1:8" x14ac:dyDescent="0.2">
      <c r="A16" t="s">
        <v>24</v>
      </c>
      <c r="B16" s="4">
        <v>2</v>
      </c>
      <c r="E16" s="5" t="s">
        <v>25</v>
      </c>
      <c r="F16" s="6">
        <f>F15/1000*F14*1000</f>
        <v>0.63450000000000006</v>
      </c>
    </row>
    <row r="18" spans="1:7" ht="16" x14ac:dyDescent="0.2">
      <c r="A18" s="2" t="s">
        <v>26</v>
      </c>
      <c r="B18" s="2"/>
      <c r="C18" s="2"/>
      <c r="E18" s="5" t="s">
        <v>27</v>
      </c>
      <c r="F18" s="6">
        <f>100-((F8-20)*2+ABS(F9-50)*0.5)</f>
        <v>93.5</v>
      </c>
    </row>
    <row r="20" spans="1:7" ht="16" x14ac:dyDescent="0.2">
      <c r="A20" t="s">
        <v>28</v>
      </c>
      <c r="B20" s="4">
        <v>50</v>
      </c>
      <c r="E20" s="2" t="s">
        <v>29</v>
      </c>
      <c r="F20" s="2"/>
      <c r="G20" s="2"/>
    </row>
    <row r="21" spans="1:7" x14ac:dyDescent="0.2">
      <c r="A21" t="s">
        <v>30</v>
      </c>
      <c r="B21" s="4">
        <v>25</v>
      </c>
    </row>
    <row r="22" spans="1:7" x14ac:dyDescent="0.2">
      <c r="A22" t="s">
        <v>31</v>
      </c>
      <c r="B22" s="4">
        <v>15</v>
      </c>
      <c r="E22" s="5" t="s">
        <v>32</v>
      </c>
      <c r="F22" s="6">
        <f>IF(B9="Optimized (45-60°)", 22.7, 7)</f>
        <v>22.7</v>
      </c>
    </row>
    <row r="23" spans="1:7" x14ac:dyDescent="0.2">
      <c r="A23" t="s">
        <v>33</v>
      </c>
      <c r="B23" s="4">
        <v>10</v>
      </c>
      <c r="E23" s="5" t="s">
        <v>34</v>
      </c>
      <c r="F23" s="4">
        <v>15</v>
      </c>
    </row>
    <row r="24" spans="1:7" x14ac:dyDescent="0.2">
      <c r="A24" t="s">
        <v>35</v>
      </c>
      <c r="B24" s="6">
        <f>B20+B21+B22+B23</f>
        <v>100</v>
      </c>
      <c r="C24" s="5" t="s">
        <v>36</v>
      </c>
      <c r="E24" s="5" t="s">
        <v>37</v>
      </c>
      <c r="F24" s="4">
        <v>25</v>
      </c>
    </row>
    <row r="25" spans="1:7" x14ac:dyDescent="0.2">
      <c r="E25" t="s">
        <v>38</v>
      </c>
      <c r="F25" s="6">
        <f>100-MIN(50, B8*2)</f>
        <v>50</v>
      </c>
    </row>
    <row r="26" spans="1:7" ht="16" x14ac:dyDescent="0.2">
      <c r="A26" s="2" t="s">
        <v>39</v>
      </c>
      <c r="B26" s="2"/>
      <c r="C26" s="2"/>
    </row>
    <row r="27" spans="1:7" ht="16" x14ac:dyDescent="0.2">
      <c r="E27" s="7" t="s">
        <v>40</v>
      </c>
    </row>
    <row r="28" spans="1:7" x14ac:dyDescent="0.2">
      <c r="A28" t="s">
        <v>41</v>
      </c>
      <c r="B28" s="4">
        <v>80</v>
      </c>
    </row>
    <row r="29" spans="1:7" x14ac:dyDescent="0.2">
      <c r="A29" t="s">
        <v>42</v>
      </c>
      <c r="B29" s="4">
        <v>70</v>
      </c>
      <c r="E29" s="5" t="s">
        <v>43</v>
      </c>
      <c r="F29" s="6">
        <f>MIN(50, 30+(F8-20)*1.5)</f>
        <v>33</v>
      </c>
    </row>
    <row r="30" spans="1:7" x14ac:dyDescent="0.2">
      <c r="A30" t="s">
        <v>44</v>
      </c>
      <c r="B30" s="4">
        <v>85</v>
      </c>
      <c r="E30" s="5" t="s">
        <v>45</v>
      </c>
      <c r="F30" s="4">
        <v>25</v>
      </c>
    </row>
    <row r="31" spans="1:7" x14ac:dyDescent="0.2">
      <c r="A31" t="s">
        <v>46</v>
      </c>
      <c r="B31" s="4">
        <v>45</v>
      </c>
      <c r="E31" s="5" t="s">
        <v>47</v>
      </c>
      <c r="F31" s="4">
        <v>20</v>
      </c>
    </row>
    <row r="32" spans="1:7" x14ac:dyDescent="0.2">
      <c r="E32" t="s">
        <v>48</v>
      </c>
      <c r="F32" s="6">
        <f>MIN(30, B16*5)</f>
        <v>10</v>
      </c>
    </row>
    <row r="34" spans="1:7" ht="16" x14ac:dyDescent="0.2">
      <c r="A34" s="2" t="s">
        <v>49</v>
      </c>
      <c r="B34" s="2"/>
      <c r="C34" s="2"/>
      <c r="E34" s="5" t="s">
        <v>50</v>
      </c>
      <c r="F34" s="8">
        <f>(F22/100)*(F23/100)*(F24/100)*(F25/100)*(F18/100)*((100-F29)/100)*((100-F30)/100)*((100-F31)/100)*((100-F32)/100)*100</f>
        <v>0.14398170187500001</v>
      </c>
    </row>
    <row r="36" spans="1:7" x14ac:dyDescent="0.2">
      <c r="A36" t="s">
        <v>51</v>
      </c>
      <c r="B36" s="6">
        <f>F16/(F34/100)*3</f>
        <v>1322.0429924161847</v>
      </c>
      <c r="C36" s="5" t="s">
        <v>52</v>
      </c>
    </row>
    <row r="37" spans="1:7" ht="16" x14ac:dyDescent="0.2">
      <c r="A37" t="s">
        <v>53</v>
      </c>
      <c r="B37" s="4">
        <v>1.052</v>
      </c>
      <c r="E37" s="2" t="s">
        <v>54</v>
      </c>
      <c r="F37" s="2"/>
      <c r="G37" s="2"/>
    </row>
    <row r="38" spans="1:7" x14ac:dyDescent="0.2">
      <c r="A38" t="s">
        <v>55</v>
      </c>
      <c r="B38" s="6">
        <f>B36/(B37*1000*(B28/100))</f>
        <v>1.5708685746390028</v>
      </c>
    </row>
    <row r="39" spans="1:7" x14ac:dyDescent="0.2">
      <c r="A39" t="s">
        <v>56</v>
      </c>
      <c r="B39" s="8">
        <f>B38/(B20/100)</f>
        <v>3.1417371492780055</v>
      </c>
      <c r="E39" s="5" t="s">
        <v>57</v>
      </c>
      <c r="F39" s="9">
        <f>B45*7</f>
        <v>43.98432008989208</v>
      </c>
    </row>
    <row r="40" spans="1:7" x14ac:dyDescent="0.2">
      <c r="A40" t="s">
        <v>58</v>
      </c>
      <c r="B40" s="8">
        <f>B39/B15</f>
        <v>15.708685746390026</v>
      </c>
      <c r="E40" s="5" t="s">
        <v>59</v>
      </c>
      <c r="F40" s="9">
        <f>F39*8</f>
        <v>351.87456071913664</v>
      </c>
    </row>
    <row r="41" spans="1:7" x14ac:dyDescent="0.2">
      <c r="A41" t="s">
        <v>60</v>
      </c>
      <c r="B41" s="8">
        <f>ROUNDUP(B40/5,0)*5</f>
        <v>20</v>
      </c>
      <c r="E41" s="5" t="s">
        <v>61</v>
      </c>
      <c r="F41" s="9">
        <f>(B46*7*1)+(B47*7*0.75)+(B48*7*0.6)+(B49*7*0.4)</f>
        <v>35.957181673486772</v>
      </c>
    </row>
    <row r="42" spans="1:7" x14ac:dyDescent="0.2">
      <c r="E42" t="s">
        <v>62</v>
      </c>
      <c r="F42" s="8">
        <f>F41*8</f>
        <v>287.65745338789418</v>
      </c>
    </row>
    <row r="43" spans="1:7" ht="16" x14ac:dyDescent="0.2">
      <c r="A43" s="2" t="s">
        <v>63</v>
      </c>
      <c r="B43" s="2"/>
      <c r="C43" s="2"/>
    </row>
    <row r="45" spans="1:7" x14ac:dyDescent="0.2">
      <c r="A45" t="s">
        <v>64</v>
      </c>
      <c r="B45" s="8">
        <f>B39*2</f>
        <v>6.283474298556011</v>
      </c>
    </row>
    <row r="46" spans="1:7" x14ac:dyDescent="0.2">
      <c r="A46" t="s">
        <v>65</v>
      </c>
      <c r="B46" s="9">
        <f>B45*(B20/100)</f>
        <v>3.1417371492780055</v>
      </c>
    </row>
    <row r="47" spans="1:7" x14ac:dyDescent="0.2">
      <c r="A47" t="s">
        <v>66</v>
      </c>
      <c r="B47" s="9">
        <f>B45*(B21/100)</f>
        <v>1.5708685746390028</v>
      </c>
    </row>
    <row r="48" spans="1:7" x14ac:dyDescent="0.2">
      <c r="A48" t="s">
        <v>67</v>
      </c>
      <c r="B48" s="9">
        <f>B45*(B22/100)</f>
        <v>0.94252114478340165</v>
      </c>
    </row>
    <row r="49" spans="1:2" x14ac:dyDescent="0.2">
      <c r="A49" t="s">
        <v>68</v>
      </c>
      <c r="B49" s="9">
        <f>B45*(B23/100)</f>
        <v>0.6283474298556011</v>
      </c>
    </row>
  </sheetData>
  <mergeCells count="11">
    <mergeCell ref="A43:C43"/>
    <mergeCell ref="A18:C18"/>
    <mergeCell ref="E20:G20"/>
    <mergeCell ref="A26:C26"/>
    <mergeCell ref="A34:C34"/>
    <mergeCell ref="E37:G37"/>
    <mergeCell ref="A1:H1"/>
    <mergeCell ref="A3:C3"/>
    <mergeCell ref="E3:G3"/>
    <mergeCell ref="A11:C11"/>
    <mergeCell ref="E11:G11"/>
  </mergeCells>
  <dataValidations count="4">
    <dataValidation type="list" sqref="B7" xr:uid="{00000000-0002-0000-0000-000000000000}">
      <formula1>"Male,Female"</formula1>
      <formula2>0</formula2>
    </dataValidation>
    <dataValidation type="list" sqref="B9" xr:uid="{00000000-0002-0000-0000-000001000000}">
      <formula1>"Optimized (45-60°),Standard (upright)"</formula1>
      <formula2>0</formula2>
    </dataValidation>
    <dataValidation type="list" sqref="B13" xr:uid="{00000000-0002-0000-0000-000002000000}">
      <formula1>"Organic Aromas,ArOmis,Medical Nebulizer"</formula1>
      <formula2>0</formula2>
    </dataValidation>
    <dataValidation type="list" sqref="B14" xr:uid="{00000000-0002-0000-0000-000003000000}">
      <formula1>"LOW,HIGH"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Normal="100" workbookViewId="0">
      <selection sqref="A1:H1"/>
    </sheetView>
  </sheetViews>
  <sheetFormatPr baseColWidth="10" defaultColWidth="8.6640625" defaultRowHeight="15" x14ac:dyDescent="0.2"/>
  <cols>
    <col min="1" max="1" width="11.83203125" bestFit="1" customWidth="1"/>
    <col min="2" max="2" width="13.1640625" bestFit="1" customWidth="1"/>
    <col min="3" max="3" width="17.6640625" bestFit="1" customWidth="1"/>
    <col min="4" max="4" width="19.5" bestFit="1" customWidth="1"/>
    <col min="5" max="5" width="14.6640625" bestFit="1" customWidth="1"/>
    <col min="6" max="6" width="17" bestFit="1" customWidth="1"/>
    <col min="7" max="7" width="16" bestFit="1" customWidth="1"/>
    <col min="8" max="8" width="14.5" bestFit="1" customWidth="1"/>
    <col min="9" max="9" width="30" customWidth="1"/>
  </cols>
  <sheetData>
    <row r="1" spans="1:8" ht="18" x14ac:dyDescent="0.2">
      <c r="A1" s="1" t="s">
        <v>69</v>
      </c>
      <c r="B1" s="1"/>
      <c r="C1" s="1"/>
      <c r="D1" s="1"/>
      <c r="E1" s="1"/>
      <c r="F1" s="1"/>
      <c r="G1" s="1"/>
      <c r="H1" s="1"/>
    </row>
    <row r="3" spans="1:8" ht="16" x14ac:dyDescent="0.2">
      <c r="A3" s="10" t="s">
        <v>70</v>
      </c>
      <c r="B3" s="10" t="s">
        <v>71</v>
      </c>
      <c r="C3" s="10" t="s">
        <v>72</v>
      </c>
      <c r="D3" s="10" t="s">
        <v>73</v>
      </c>
      <c r="E3" s="10" t="s">
        <v>74</v>
      </c>
      <c r="F3" s="10" t="s">
        <v>75</v>
      </c>
      <c r="G3" s="10" t="s">
        <v>76</v>
      </c>
      <c r="H3" s="10" t="s">
        <v>77</v>
      </c>
    </row>
    <row r="4" spans="1:8" x14ac:dyDescent="0.2">
      <c r="A4" s="11">
        <v>40</v>
      </c>
      <c r="B4" s="6">
        <f t="shared" ref="B4:B10" si="0">0.0575*A4+0.03</f>
        <v>2.33</v>
      </c>
      <c r="C4" s="6">
        <f t="shared" ref="C4:C10" si="1">0.06*A4+0.5</f>
        <v>2.9</v>
      </c>
      <c r="D4" s="6">
        <f t="shared" ref="D4:D10" si="2">C4/0.2</f>
        <v>14.499999999999998</v>
      </c>
      <c r="E4" s="6">
        <f t="shared" ref="E4:E10" si="3">C4*2</f>
        <v>5.8</v>
      </c>
      <c r="F4" s="6">
        <f t="shared" ref="F4:F10" si="4">E4*7</f>
        <v>40.6</v>
      </c>
      <c r="G4" s="6">
        <f t="shared" ref="G4:G10" si="5">F4*0.65</f>
        <v>26.39</v>
      </c>
      <c r="H4" s="6" t="s">
        <v>78</v>
      </c>
    </row>
    <row r="5" spans="1:8" x14ac:dyDescent="0.2">
      <c r="A5" s="11">
        <v>50</v>
      </c>
      <c r="B5" s="6">
        <f t="shared" si="0"/>
        <v>2.9049999999999998</v>
      </c>
      <c r="C5" s="6">
        <f t="shared" si="1"/>
        <v>3.5</v>
      </c>
      <c r="D5" s="6">
        <f t="shared" si="2"/>
        <v>17.5</v>
      </c>
      <c r="E5" s="6">
        <f t="shared" si="3"/>
        <v>7</v>
      </c>
      <c r="F5" s="6">
        <f t="shared" si="4"/>
        <v>49</v>
      </c>
      <c r="G5" s="6">
        <f t="shared" si="5"/>
        <v>31.85</v>
      </c>
      <c r="H5" s="6" t="s">
        <v>79</v>
      </c>
    </row>
    <row r="6" spans="1:8" x14ac:dyDescent="0.2">
      <c r="A6" s="11">
        <v>60</v>
      </c>
      <c r="B6" s="6">
        <f t="shared" si="0"/>
        <v>3.48</v>
      </c>
      <c r="C6" s="6">
        <f t="shared" si="1"/>
        <v>4.0999999999999996</v>
      </c>
      <c r="D6" s="6">
        <f t="shared" si="2"/>
        <v>20.499999999999996</v>
      </c>
      <c r="E6" s="6">
        <f t="shared" si="3"/>
        <v>8.1999999999999993</v>
      </c>
      <c r="F6" s="6">
        <f t="shared" si="4"/>
        <v>57.399999999999991</v>
      </c>
      <c r="G6" s="6">
        <f t="shared" si="5"/>
        <v>37.309999999999995</v>
      </c>
      <c r="H6" s="6" t="s">
        <v>80</v>
      </c>
    </row>
    <row r="7" spans="1:8" x14ac:dyDescent="0.2">
      <c r="A7" s="11">
        <v>70</v>
      </c>
      <c r="B7" s="6">
        <f t="shared" si="0"/>
        <v>4.0550000000000006</v>
      </c>
      <c r="C7" s="6">
        <f t="shared" si="1"/>
        <v>4.7</v>
      </c>
      <c r="D7" s="6">
        <f t="shared" si="2"/>
        <v>23.5</v>
      </c>
      <c r="E7" s="6">
        <f t="shared" si="3"/>
        <v>9.4</v>
      </c>
      <c r="F7" s="6">
        <f t="shared" si="4"/>
        <v>65.8</v>
      </c>
      <c r="G7" s="6">
        <f t="shared" si="5"/>
        <v>42.77</v>
      </c>
      <c r="H7" s="6" t="s">
        <v>81</v>
      </c>
    </row>
    <row r="8" spans="1:8" x14ac:dyDescent="0.2">
      <c r="A8" s="11">
        <v>80</v>
      </c>
      <c r="B8" s="6">
        <f t="shared" si="0"/>
        <v>4.6300000000000008</v>
      </c>
      <c r="C8" s="6">
        <f t="shared" si="1"/>
        <v>5.3</v>
      </c>
      <c r="D8" s="6">
        <f t="shared" si="2"/>
        <v>26.499999999999996</v>
      </c>
      <c r="E8" s="6">
        <f t="shared" si="3"/>
        <v>10.6</v>
      </c>
      <c r="F8" s="6">
        <f t="shared" si="4"/>
        <v>74.2</v>
      </c>
      <c r="G8" s="6">
        <f t="shared" si="5"/>
        <v>48.230000000000004</v>
      </c>
      <c r="H8" s="6" t="s">
        <v>82</v>
      </c>
    </row>
    <row r="9" spans="1:8" x14ac:dyDescent="0.2">
      <c r="A9" s="11">
        <v>90</v>
      </c>
      <c r="B9" s="6">
        <f t="shared" si="0"/>
        <v>5.2050000000000001</v>
      </c>
      <c r="C9" s="6">
        <f t="shared" si="1"/>
        <v>5.8999999999999995</v>
      </c>
      <c r="D9" s="6">
        <f t="shared" si="2"/>
        <v>29.499999999999996</v>
      </c>
      <c r="E9" s="6">
        <f t="shared" si="3"/>
        <v>11.799999999999999</v>
      </c>
      <c r="F9" s="6">
        <f t="shared" si="4"/>
        <v>82.6</v>
      </c>
      <c r="G9" s="6">
        <f t="shared" si="5"/>
        <v>53.69</v>
      </c>
      <c r="H9" s="6" t="s">
        <v>83</v>
      </c>
    </row>
    <row r="10" spans="1:8" x14ac:dyDescent="0.2">
      <c r="A10" s="11">
        <v>100</v>
      </c>
      <c r="B10" s="6">
        <f t="shared" si="0"/>
        <v>5.78</v>
      </c>
      <c r="C10" s="6">
        <f t="shared" si="1"/>
        <v>6.5</v>
      </c>
      <c r="D10" s="6">
        <f t="shared" si="2"/>
        <v>32.5</v>
      </c>
      <c r="E10" s="6">
        <f t="shared" si="3"/>
        <v>13</v>
      </c>
      <c r="F10" s="6">
        <f t="shared" si="4"/>
        <v>91</v>
      </c>
      <c r="G10" s="6">
        <f t="shared" si="5"/>
        <v>59.15</v>
      </c>
      <c r="H10" s="6" t="s">
        <v>84</v>
      </c>
    </row>
  </sheetData>
  <mergeCells count="1">
    <mergeCell ref="A1:H1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9"/>
  <sheetViews>
    <sheetView zoomScaleNormal="100" workbookViewId="0">
      <selection sqref="A1:F1"/>
    </sheetView>
  </sheetViews>
  <sheetFormatPr baseColWidth="10" defaultColWidth="8.6640625" defaultRowHeight="15" x14ac:dyDescent="0.2"/>
  <cols>
    <col min="1" max="1" width="18.33203125" bestFit="1" customWidth="1"/>
    <col min="2" max="2" width="19.33203125" bestFit="1" customWidth="1"/>
    <col min="3" max="3" width="12.6640625" bestFit="1" customWidth="1"/>
    <col min="4" max="4" width="17.33203125" bestFit="1" customWidth="1"/>
    <col min="5" max="5" width="18.6640625" bestFit="1" customWidth="1"/>
    <col min="6" max="6" width="23" bestFit="1" customWidth="1"/>
    <col min="7" max="7" width="12" customWidth="1"/>
    <col min="8" max="8" width="20" customWidth="1"/>
    <col min="9" max="9" width="30" customWidth="1"/>
  </cols>
  <sheetData>
    <row r="1" spans="1:6" ht="18" x14ac:dyDescent="0.2">
      <c r="A1" s="1" t="s">
        <v>85</v>
      </c>
      <c r="B1" s="1"/>
      <c r="C1" s="1"/>
      <c r="D1" s="1"/>
      <c r="E1" s="1"/>
      <c r="F1" s="1"/>
    </row>
    <row r="3" spans="1:6" ht="16" x14ac:dyDescent="0.2">
      <c r="A3" s="7" t="s">
        <v>86</v>
      </c>
      <c r="B3" s="7" t="s">
        <v>87</v>
      </c>
      <c r="C3" s="7" t="s">
        <v>88</v>
      </c>
      <c r="D3" s="7" t="s">
        <v>89</v>
      </c>
      <c r="E3" s="7" t="s">
        <v>90</v>
      </c>
      <c r="F3" s="7" t="s">
        <v>77</v>
      </c>
    </row>
    <row r="4" spans="1:6" x14ac:dyDescent="0.2">
      <c r="A4" s="6" t="s">
        <v>91</v>
      </c>
      <c r="B4" s="6" t="s">
        <v>92</v>
      </c>
      <c r="C4" s="6">
        <v>0.2</v>
      </c>
      <c r="D4" s="6" t="s">
        <v>93</v>
      </c>
      <c r="E4" s="6" t="s">
        <v>94</v>
      </c>
      <c r="F4" s="6" t="s">
        <v>95</v>
      </c>
    </row>
    <row r="5" spans="1:6" x14ac:dyDescent="0.2">
      <c r="A5" s="6" t="s">
        <v>96</v>
      </c>
      <c r="B5" s="6" t="s">
        <v>97</v>
      </c>
      <c r="C5" s="6">
        <v>500</v>
      </c>
      <c r="D5" s="6" t="s">
        <v>98</v>
      </c>
      <c r="E5" s="6" t="s">
        <v>99</v>
      </c>
      <c r="F5" s="6" t="s">
        <v>100</v>
      </c>
    </row>
    <row r="6" spans="1:6" x14ac:dyDescent="0.2">
      <c r="A6" s="6" t="s">
        <v>101</v>
      </c>
      <c r="B6" s="6" t="s">
        <v>102</v>
      </c>
      <c r="C6" s="6" t="s">
        <v>103</v>
      </c>
      <c r="D6" s="6" t="s">
        <v>104</v>
      </c>
      <c r="E6" s="6" t="s">
        <v>105</v>
      </c>
      <c r="F6" s="6" t="s">
        <v>106</v>
      </c>
    </row>
    <row r="7" spans="1:6" x14ac:dyDescent="0.2">
      <c r="A7" s="6" t="s">
        <v>107</v>
      </c>
      <c r="B7" s="6" t="s">
        <v>108</v>
      </c>
      <c r="C7" s="6">
        <v>1000</v>
      </c>
      <c r="D7" s="6" t="s">
        <v>109</v>
      </c>
      <c r="E7" s="6" t="s">
        <v>110</v>
      </c>
      <c r="F7" s="6" t="s">
        <v>111</v>
      </c>
    </row>
    <row r="8" spans="1:6" x14ac:dyDescent="0.2">
      <c r="A8" s="6" t="s">
        <v>112</v>
      </c>
      <c r="B8" s="6" t="s">
        <v>113</v>
      </c>
      <c r="C8" s="6">
        <v>250</v>
      </c>
      <c r="D8" s="6" t="s">
        <v>114</v>
      </c>
      <c r="E8" s="6" t="s">
        <v>115</v>
      </c>
      <c r="F8" s="6" t="s">
        <v>116</v>
      </c>
    </row>
    <row r="9" spans="1:6" x14ac:dyDescent="0.2">
      <c r="A9" s="6" t="s">
        <v>117</v>
      </c>
      <c r="B9" s="6" t="s">
        <v>118</v>
      </c>
      <c r="C9" s="6">
        <v>2400</v>
      </c>
      <c r="D9" s="6" t="s">
        <v>119</v>
      </c>
      <c r="E9" s="6" t="s">
        <v>120</v>
      </c>
      <c r="F9" s="6" t="s">
        <v>121</v>
      </c>
    </row>
  </sheetData>
  <mergeCells count="1">
    <mergeCell ref="A1:F1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6"/>
  <sheetViews>
    <sheetView tabSelected="1" zoomScaleNormal="100" workbookViewId="0">
      <selection activeCell="F27" sqref="F27"/>
    </sheetView>
  </sheetViews>
  <sheetFormatPr baseColWidth="10" defaultColWidth="8.6640625" defaultRowHeight="15" x14ac:dyDescent="0.2"/>
  <cols>
    <col min="1" max="1" width="8.1640625" bestFit="1" customWidth="1"/>
    <col min="2" max="2" width="10.5" bestFit="1" customWidth="1"/>
    <col min="3" max="3" width="14.6640625" bestFit="1" customWidth="1"/>
    <col min="4" max="4" width="14" bestFit="1" customWidth="1"/>
    <col min="5" max="5" width="13.5" bestFit="1" customWidth="1"/>
    <col min="6" max="6" width="15.5" bestFit="1" customWidth="1"/>
    <col min="7" max="7" width="16" bestFit="1" customWidth="1"/>
    <col min="8" max="8" width="13.83203125" bestFit="1" customWidth="1"/>
    <col min="9" max="9" width="28" bestFit="1" customWidth="1"/>
  </cols>
  <sheetData>
    <row r="1" spans="1:9" ht="18" x14ac:dyDescent="0.2">
      <c r="A1" s="1" t="s">
        <v>122</v>
      </c>
      <c r="B1" s="1"/>
      <c r="C1" s="1"/>
      <c r="D1" s="1"/>
      <c r="E1" s="1"/>
      <c r="F1" s="1"/>
      <c r="G1" s="1"/>
      <c r="H1" s="1"/>
      <c r="I1" s="1"/>
    </row>
    <row r="3" spans="1:9" ht="16" x14ac:dyDescent="0.2">
      <c r="A3" s="7" t="s">
        <v>123</v>
      </c>
      <c r="B3" s="7" t="s">
        <v>124</v>
      </c>
      <c r="C3" s="7" t="s">
        <v>125</v>
      </c>
      <c r="D3" s="7" t="s">
        <v>126</v>
      </c>
      <c r="E3" s="7" t="s">
        <v>127</v>
      </c>
      <c r="F3" s="7" t="s">
        <v>128</v>
      </c>
      <c r="G3" s="7" t="s">
        <v>129</v>
      </c>
      <c r="H3" s="7" t="s">
        <v>130</v>
      </c>
      <c r="I3" s="7" t="s">
        <v>77</v>
      </c>
    </row>
    <row r="4" spans="1:9" x14ac:dyDescent="0.2">
      <c r="A4" s="12">
        <f ca="1">TODAY()</f>
        <v>46132</v>
      </c>
      <c r="B4" s="4">
        <v>1</v>
      </c>
      <c r="C4" s="4">
        <v>22</v>
      </c>
      <c r="D4" s="4">
        <v>4.2</v>
      </c>
      <c r="E4" s="4" t="s">
        <v>131</v>
      </c>
      <c r="F4" s="4" t="s">
        <v>131</v>
      </c>
      <c r="G4" s="4">
        <v>7</v>
      </c>
      <c r="H4" s="4" t="s">
        <v>132</v>
      </c>
      <c r="I4" s="4" t="s">
        <v>133</v>
      </c>
    </row>
    <row r="5" spans="1:9" x14ac:dyDescent="0.2">
      <c r="A5" s="12">
        <f ca="1">TODAY()+0.5</f>
        <v>46132.5</v>
      </c>
      <c r="B5" s="4">
        <v>2</v>
      </c>
      <c r="C5" s="4">
        <v>22</v>
      </c>
      <c r="D5" s="4">
        <v>4.2</v>
      </c>
      <c r="E5" s="4" t="s">
        <v>131</v>
      </c>
      <c r="F5" s="4" t="s">
        <v>131</v>
      </c>
      <c r="G5" s="4">
        <v>8</v>
      </c>
      <c r="H5" s="4" t="s">
        <v>134</v>
      </c>
      <c r="I5" s="4" t="s">
        <v>135</v>
      </c>
    </row>
    <row r="6" spans="1:9" x14ac:dyDescent="0.2">
      <c r="A6" s="12">
        <f ca="1">TODAY()+1</f>
        <v>46133</v>
      </c>
      <c r="B6" s="4">
        <v>3</v>
      </c>
      <c r="C6" s="4">
        <v>20</v>
      </c>
      <c r="D6" s="4">
        <v>4</v>
      </c>
      <c r="E6" s="4" t="s">
        <v>136</v>
      </c>
      <c r="F6" s="4" t="s">
        <v>137</v>
      </c>
      <c r="G6" s="4">
        <v>6</v>
      </c>
      <c r="H6" s="4" t="s">
        <v>132</v>
      </c>
      <c r="I6" s="4" t="s">
        <v>138</v>
      </c>
    </row>
  </sheetData>
  <mergeCells count="1">
    <mergeCell ref="A1:I1"/>
  </mergeCells>
  <dataValidations count="2">
    <dataValidation type="list" sqref="E4:E49" xr:uid="{00000000-0002-0000-0300-000000000000}">
      <formula1>"Yes,No,Partial"</formula1>
      <formula2>0</formula2>
    </dataValidation>
    <dataValidation type="list" sqref="F4:F49" xr:uid="{00000000-0002-0000-0300-000001000000}">
      <formula1>"Yes,No,Faint,Strong"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Dosage Calculator</vt:lpstr>
      <vt:lpstr>Weight-Based Table</vt:lpstr>
      <vt:lpstr>MIC Reference</vt:lpstr>
      <vt:lpstr>Session Monitor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Microsoft Office User</cp:lastModifiedBy>
  <cp:revision>0</cp:revision>
  <dcterms:created xsi:type="dcterms:W3CDTF">2026-04-20T09:17:59Z</dcterms:created>
  <dcterms:modified xsi:type="dcterms:W3CDTF">2026-04-20T12:54:49Z</dcterms:modified>
  <dc:language>en-US</dc:language>
</cp:coreProperties>
</file>